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.local\userroot\Division System\Kraftsystem\SKA\31 Stödtjänster\313 Förkvalprocess\FAQ-uppdateringsprocess\"/>
    </mc:Choice>
  </mc:AlternateContent>
  <bookViews>
    <workbookView xWindow="0" yWindow="0" windowWidth="28800" windowHeight="1425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R3" i="1"/>
  <c r="E10" i="1"/>
  <c r="V10" i="1" l="1"/>
  <c r="V9" i="1"/>
  <c r="V8" i="1"/>
  <c r="U10" i="1"/>
  <c r="U9" i="1"/>
  <c r="U8" i="1"/>
  <c r="U7" i="1"/>
  <c r="V7" i="1"/>
  <c r="V6" i="1"/>
  <c r="V5" i="1"/>
  <c r="U6" i="1"/>
  <c r="U5" i="1"/>
  <c r="V4" i="1"/>
  <c r="U4" i="1"/>
  <c r="V3" i="1"/>
  <c r="U3" i="1"/>
  <c r="R10" i="1"/>
  <c r="R9" i="1"/>
  <c r="R8" i="1"/>
  <c r="S10" i="1"/>
  <c r="S9" i="1"/>
  <c r="S8" i="1"/>
  <c r="S7" i="1"/>
  <c r="R7" i="1"/>
  <c r="R6" i="1"/>
  <c r="S6" i="1"/>
  <c r="S5" i="1"/>
  <c r="R5" i="1"/>
  <c r="S4" i="1"/>
  <c r="R4" i="1"/>
  <c r="S3" i="1"/>
  <c r="N6" i="1"/>
  <c r="N5" i="1"/>
  <c r="N4" i="1"/>
  <c r="N3" i="1"/>
  <c r="M3" i="1"/>
  <c r="M6" i="1"/>
  <c r="M5" i="1"/>
  <c r="M4" i="1"/>
  <c r="I7" i="1"/>
  <c r="J10" i="1"/>
  <c r="J9" i="1"/>
  <c r="J8" i="1"/>
  <c r="I10" i="1"/>
  <c r="I9" i="1"/>
  <c r="I8" i="1"/>
  <c r="J7" i="1"/>
  <c r="E9" i="1"/>
  <c r="E8" i="1"/>
  <c r="E7" i="1"/>
  <c r="E6" i="1"/>
  <c r="E5" i="1"/>
  <c r="E4" i="1"/>
  <c r="F6" i="1"/>
  <c r="F10" i="1"/>
  <c r="F9" i="1"/>
  <c r="F8" i="1"/>
  <c r="F7" i="1"/>
  <c r="F5" i="1"/>
  <c r="F4" i="1"/>
  <c r="F3" i="1"/>
</calcChain>
</file>

<file path=xl/sharedStrings.xml><?xml version="1.0" encoding="utf-8"?>
<sst xmlns="http://schemas.openxmlformats.org/spreadsheetml/2006/main" count="35" uniqueCount="18">
  <si>
    <t>MW</t>
  </si>
  <si>
    <t>MWh</t>
  </si>
  <si>
    <t>FCR-N</t>
  </si>
  <si>
    <t>Kapacitet, FCR-N:</t>
  </si>
  <si>
    <t>Kapacitet, FCR-D upp:</t>
  </si>
  <si>
    <t>Kapacitet, FCR-D ned:</t>
  </si>
  <si>
    <t>N.A.</t>
  </si>
  <si>
    <t>SoC</t>
  </si>
  <si>
    <t>Status</t>
  </si>
  <si>
    <t>FCR-D upp</t>
  </si>
  <si>
    <t>FCR-D ned</t>
  </si>
  <si>
    <t>E [MW]</t>
  </si>
  <si>
    <t>Energikapacitet:</t>
  </si>
  <si>
    <t>FCR-N, FCR-D upp och FCR-D ned</t>
  </si>
  <si>
    <t>FCR-D upp och ned</t>
  </si>
  <si>
    <t xml:space="preserve"> </t>
  </si>
  <si>
    <t>Notera: Om man fyller i FCR-kapaciteter som inte klarar energikraven så ger formler error</t>
  </si>
  <si>
    <t>E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</si>
</sst>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1" xfId="0" applyBorder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0" fillId="4" borderId="1" xfId="0" applyFill="1" applyBorder="1"/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9" borderId="1" xfId="1" applyNumberFormat="1" applyFont="1" applyFill="1" applyBorder="1" applyAlignment="1">
      <alignment vertical="center"/>
    </xf>
    <xf numFmtId="10" fontId="2" fillId="0" borderId="0" xfId="1" applyNumberFormat="1" applyFont="1" applyFill="1" applyAlignment="1">
      <alignment vertical="center"/>
    </xf>
    <xf numFmtId="10" fontId="3" fillId="0" borderId="0" xfId="1" applyNumberFormat="1" applyFont="1" applyFill="1" applyAlignment="1">
      <alignment vertical="center"/>
    </xf>
    <xf numFmtId="10" fontId="4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9" fontId="2" fillId="9" borderId="1" xfId="1" applyFont="1" applyFill="1" applyBorder="1" applyAlignment="1">
      <alignment vertical="center"/>
    </xf>
    <xf numFmtId="0" fontId="7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/>
    <xf numFmtId="2" fontId="2" fillId="9" borderId="0" xfId="1" applyNumberFormat="1" applyFont="1" applyFill="1" applyBorder="1" applyAlignment="1">
      <alignment vertical="center"/>
    </xf>
    <xf numFmtId="9" fontId="2" fillId="9" borderId="0" xfId="1" applyFont="1" applyFill="1" applyBorder="1" applyAlignment="1">
      <alignment vertical="center"/>
    </xf>
    <xf numFmtId="0" fontId="8" fillId="0" borderId="0" xfId="0" applyFont="1" applyBorder="1"/>
    <xf numFmtId="2" fontId="3" fillId="2" borderId="0" xfId="1" applyNumberFormat="1" applyFont="1" applyFill="1" applyBorder="1" applyAlignment="1">
      <alignment vertical="center"/>
    </xf>
    <xf numFmtId="9" fontId="3" fillId="2" borderId="0" xfId="1" applyFont="1" applyFill="1" applyBorder="1" applyAlignment="1">
      <alignment vertical="center"/>
    </xf>
    <xf numFmtId="0" fontId="0" fillId="0" borderId="0" xfId="0" applyBorder="1"/>
    <xf numFmtId="2" fontId="4" fillId="3" borderId="0" xfId="1" applyNumberFormat="1" applyFont="1" applyFill="1" applyBorder="1" applyAlignment="1">
      <alignment vertical="center"/>
    </xf>
    <xf numFmtId="9" fontId="4" fillId="3" borderId="0" xfId="1" applyFont="1" applyFill="1" applyBorder="1" applyAlignment="1">
      <alignment vertical="center"/>
    </xf>
    <xf numFmtId="2" fontId="5" fillId="5" borderId="0" xfId="1" applyNumberFormat="1" applyFont="1" applyFill="1" applyBorder="1" applyAlignment="1">
      <alignment vertical="center"/>
    </xf>
    <xf numFmtId="9" fontId="5" fillId="5" borderId="0" xfId="1" applyFont="1" applyFill="1" applyBorder="1" applyAlignment="1">
      <alignment vertical="center"/>
    </xf>
    <xf numFmtId="0" fontId="0" fillId="0" borderId="10" xfId="0" applyBorder="1"/>
    <xf numFmtId="10" fontId="2" fillId="9" borderId="9" xfId="1" applyNumberFormat="1" applyFont="1" applyFill="1" applyBorder="1" applyAlignment="1">
      <alignment vertical="center"/>
    </xf>
    <xf numFmtId="10" fontId="3" fillId="2" borderId="9" xfId="1" applyNumberFormat="1" applyFont="1" applyFill="1" applyBorder="1" applyAlignment="1">
      <alignment vertical="center"/>
    </xf>
    <xf numFmtId="10" fontId="4" fillId="3" borderId="9" xfId="1" applyNumberFormat="1" applyFont="1" applyFill="1" applyBorder="1" applyAlignment="1">
      <alignment vertical="center"/>
    </xf>
    <xf numFmtId="10" fontId="5" fillId="5" borderId="9" xfId="1" applyNumberFormat="1" applyFont="1" applyFill="1" applyBorder="1" applyAlignment="1">
      <alignment vertical="center"/>
    </xf>
    <xf numFmtId="10" fontId="2" fillId="9" borderId="11" xfId="1" applyNumberFormat="1" applyFont="1" applyFill="1" applyBorder="1" applyAlignment="1">
      <alignment vertical="center"/>
    </xf>
    <xf numFmtId="9" fontId="2" fillId="9" borderId="9" xfId="1" applyFont="1" applyFill="1" applyBorder="1" applyAlignment="1">
      <alignment vertical="center"/>
    </xf>
    <xf numFmtId="9" fontId="2" fillId="9" borderId="11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88900</xdr:rowOff>
    </xdr:from>
    <xdr:ext cx="682495" cy="189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ruta 1"/>
            <xdr:cNvSpPr txBox="1"/>
          </xdr:nvSpPr>
          <xdr:spPr>
            <a:xfrm>
              <a:off x="527050" y="457200"/>
              <a:ext cx="682495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𝐴𝐸𝑀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𝑢𝑝𝑝𝑒𝑟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𝑒𝑛𝑎𝑏𝑙𝑒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2" name="textruta 1"/>
            <xdr:cNvSpPr txBox="1"/>
          </xdr:nvSpPr>
          <xdr:spPr>
            <a:xfrm>
              <a:off x="527050" y="457200"/>
              <a:ext cx="682495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𝐴𝐸𝑀〗_𝑢𝑝𝑝𝑒𝑟^𝑒𝑛𝑎𝑏𝑙𝑒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3</xdr:row>
      <xdr:rowOff>88934</xdr:rowOff>
    </xdr:from>
    <xdr:ext cx="711477" cy="19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ruta 2"/>
            <xdr:cNvSpPr txBox="1"/>
          </xdr:nvSpPr>
          <xdr:spPr>
            <a:xfrm>
              <a:off x="527050" y="825534"/>
              <a:ext cx="711477" cy="19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𝐴𝐸𝑀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𝑢𝑝𝑝𝑒𝑟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𝑑𝑖𝑠𝑎𝑏𝑙𝑒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3" name="textruta 2"/>
            <xdr:cNvSpPr txBox="1"/>
          </xdr:nvSpPr>
          <xdr:spPr>
            <a:xfrm>
              <a:off x="527050" y="825534"/>
              <a:ext cx="711477" cy="19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𝐴𝐸𝑀〗_𝑢𝑝𝑝𝑒𝑟^𝑑𝑖𝑠𝑎𝑏𝑙𝑒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9</xdr:row>
      <xdr:rowOff>88112</xdr:rowOff>
    </xdr:from>
    <xdr:ext cx="682495" cy="189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ruta 3"/>
            <xdr:cNvSpPr txBox="1"/>
          </xdr:nvSpPr>
          <xdr:spPr>
            <a:xfrm>
              <a:off x="527050" y="3034512"/>
              <a:ext cx="682495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𝐴𝐸𝑀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𝑙𝑜𝑤𝑒𝑟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𝑒𝑛𝑎𝑏𝑙𝑒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" name="textruta 3"/>
            <xdr:cNvSpPr txBox="1"/>
          </xdr:nvSpPr>
          <xdr:spPr>
            <a:xfrm>
              <a:off x="527050" y="3034512"/>
              <a:ext cx="682495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𝐴𝐸𝑀〗_𝑙𝑜𝑤𝑒𝑟^𝑒𝑛𝑎𝑏𝑙𝑒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8</xdr:row>
      <xdr:rowOff>91090</xdr:rowOff>
    </xdr:from>
    <xdr:ext cx="711477" cy="186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ruta 4"/>
            <xdr:cNvSpPr txBox="1"/>
          </xdr:nvSpPr>
          <xdr:spPr>
            <a:xfrm>
              <a:off x="527050" y="2669190"/>
              <a:ext cx="71147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𝐴𝐸𝑀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𝑙𝑜𝑤𝑒𝑟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𝑑𝑖𝑠𝑎𝑏𝑙𝑒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5" name="textruta 4"/>
            <xdr:cNvSpPr txBox="1"/>
          </xdr:nvSpPr>
          <xdr:spPr>
            <a:xfrm>
              <a:off x="527050" y="2669190"/>
              <a:ext cx="711477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𝐴𝐸𝑀〗_𝑙𝑜𝑤𝑒𝑟^𝑑𝑖𝑠𝑎𝑏𝑙𝑒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6</xdr:row>
      <xdr:rowOff>94036</xdr:rowOff>
    </xdr:from>
    <xdr:ext cx="725455" cy="186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ruta 5"/>
            <xdr:cNvSpPr txBox="1"/>
          </xdr:nvSpPr>
          <xdr:spPr>
            <a:xfrm>
              <a:off x="527050" y="1935536"/>
              <a:ext cx="725455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𝑁𝐸𝑀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𝑙𝑜𝑤𝑒𝑟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𝑑𝑖𝑠𝑎𝑏𝑙𝑒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6" name="textruta 5"/>
            <xdr:cNvSpPr txBox="1"/>
          </xdr:nvSpPr>
          <xdr:spPr>
            <a:xfrm>
              <a:off x="527050" y="1935536"/>
              <a:ext cx="725455" cy="186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𝑁𝐸𝑀〗_𝑙𝑜𝑤𝑒𝑟^𝑑𝑖𝑠𝑎𝑏𝑙𝑒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4</xdr:row>
      <xdr:rowOff>91468</xdr:rowOff>
    </xdr:from>
    <xdr:ext cx="696473" cy="189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ruta 6"/>
            <xdr:cNvSpPr txBox="1"/>
          </xdr:nvSpPr>
          <xdr:spPr>
            <a:xfrm>
              <a:off x="527050" y="1196368"/>
              <a:ext cx="696473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𝑁𝐸𝑀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𝑢𝑝𝑝𝑒𝑟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𝑒𝑛𝑎𝑏𝑙𝑒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7" name="textruta 6"/>
            <xdr:cNvSpPr txBox="1"/>
          </xdr:nvSpPr>
          <xdr:spPr>
            <a:xfrm>
              <a:off x="527050" y="1196368"/>
              <a:ext cx="696473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𝑁𝐸𝑀〗_𝑢𝑝𝑝𝑒𝑟^𝑒𝑛𝑎𝑏𝑙𝑒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7</xdr:row>
      <xdr:rowOff>91056</xdr:rowOff>
    </xdr:from>
    <xdr:ext cx="696473" cy="1892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ruta 7"/>
            <xdr:cNvSpPr txBox="1"/>
          </xdr:nvSpPr>
          <xdr:spPr>
            <a:xfrm>
              <a:off x="527050" y="2300856"/>
              <a:ext cx="696473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𝑁𝐸𝑀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𝑙𝑜𝑤𝑒𝑟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𝑒𝑛𝑎𝑏𝑙𝑒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8" name="textruta 7"/>
            <xdr:cNvSpPr txBox="1"/>
          </xdr:nvSpPr>
          <xdr:spPr>
            <a:xfrm>
              <a:off x="527050" y="2300856"/>
              <a:ext cx="696473" cy="1892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𝑁𝐸𝑀〗_𝑙𝑜𝑤𝑒𝑟^𝑒𝑛𝑎𝑏𝑙𝑒</a:t>
              </a:r>
              <a:endParaRPr lang="sv-SE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5</xdr:row>
      <xdr:rowOff>91502</xdr:rowOff>
    </xdr:from>
    <xdr:ext cx="725455" cy="191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ruta 8"/>
            <xdr:cNvSpPr txBox="1"/>
          </xdr:nvSpPr>
          <xdr:spPr>
            <a:xfrm>
              <a:off x="527050" y="1564702"/>
              <a:ext cx="725455" cy="19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sv-SE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𝑁𝐸𝑀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𝑢𝑝𝑝𝑒𝑟</m:t>
                        </m:r>
                      </m:sub>
                      <m:sup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𝑑𝑖𝑠𝑎𝑏𝑙𝑒</m:t>
                        </m:r>
                      </m:sup>
                    </m:sSubSup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9" name="textruta 8"/>
            <xdr:cNvSpPr txBox="1"/>
          </xdr:nvSpPr>
          <xdr:spPr>
            <a:xfrm>
              <a:off x="527050" y="1564702"/>
              <a:ext cx="725455" cy="191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sv-SE" sz="1100" i="0">
                  <a:latin typeface="Cambria Math" panose="02040503050406030204" pitchFamily="18" charset="0"/>
                </a:rPr>
                <a:t>〖</a:t>
              </a:r>
              <a:r>
                <a:rPr lang="sv-SE" sz="1100" b="0" i="0">
                  <a:latin typeface="Cambria Math" panose="02040503050406030204" pitchFamily="18" charset="0"/>
                </a:rPr>
                <a:t>𝑁𝐸𝑀〗_𝑢𝑝𝑝𝑒𝑟^𝑑𝑖𝑠𝑎𝑏𝑙𝑒</a:t>
              </a:r>
              <a:endParaRPr lang="sv-SE" sz="1100"/>
            </a:p>
          </xdr:txBody>
        </xdr:sp>
      </mc:Fallback>
    </mc:AlternateContent>
    <xdr:clientData/>
  </xdr:oneCellAnchor>
  <xdr:twoCellAnchor>
    <xdr:from>
      <xdr:col>2</xdr:col>
      <xdr:colOff>628650</xdr:colOff>
      <xdr:row>2</xdr:row>
      <xdr:rowOff>25400</xdr:rowOff>
    </xdr:from>
    <xdr:to>
      <xdr:col>12</xdr:col>
      <xdr:colOff>4355</xdr:colOff>
      <xdr:row>9</xdr:row>
      <xdr:rowOff>351515</xdr:rowOff>
    </xdr:to>
    <xdr:grpSp>
      <xdr:nvGrpSpPr>
        <xdr:cNvPr id="27" name="Grupp 26"/>
        <xdr:cNvGrpSpPr/>
      </xdr:nvGrpSpPr>
      <xdr:grpSpPr>
        <a:xfrm>
          <a:off x="1744436" y="420007"/>
          <a:ext cx="8669383" cy="2897865"/>
          <a:chOff x="1203572" y="406400"/>
          <a:chExt cx="5282746" cy="2904215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0" name="textruta 9"/>
              <xdr:cNvSpPr txBox="1"/>
            </xdr:nvSpPr>
            <xdr:spPr>
              <a:xfrm>
                <a:off x="1296129" y="406400"/>
                <a:ext cx="1188595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0" name="textruta 9"/>
              <xdr:cNvSpPr txBox="1"/>
            </xdr:nvSpPr>
            <xdr:spPr>
              <a:xfrm>
                <a:off x="1296129" y="406400"/>
                <a:ext cx="1188595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1" name="textruta 10"/>
              <xdr:cNvSpPr txBox="1"/>
            </xdr:nvSpPr>
            <xdr:spPr>
              <a:xfrm>
                <a:off x="1257080" y="774700"/>
                <a:ext cx="1266693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10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1" name="textruta 10"/>
              <xdr:cNvSpPr txBox="1"/>
            </xdr:nvSpPr>
            <xdr:spPr>
              <a:xfrm>
                <a:off x="1257080" y="774700"/>
                <a:ext cx="1266693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×(10∕60)/𝐸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2" name="textruta 11"/>
              <xdr:cNvSpPr txBox="1"/>
            </xdr:nvSpPr>
            <xdr:spPr>
              <a:xfrm>
                <a:off x="1257080" y="1143000"/>
                <a:ext cx="1021433" cy="32328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30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2" name="textruta 11"/>
              <xdr:cNvSpPr txBox="1"/>
            </xdr:nvSpPr>
            <xdr:spPr>
              <a:xfrm>
                <a:off x="1257080" y="1143000"/>
                <a:ext cx="1021433" cy="32328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×(30∕60)/𝐸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3" name="textruta 12"/>
              <xdr:cNvSpPr txBox="1"/>
            </xdr:nvSpPr>
            <xdr:spPr>
              <a:xfrm>
                <a:off x="1203572" y="1511300"/>
                <a:ext cx="1373709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57,5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3" name="textruta 12"/>
              <xdr:cNvSpPr txBox="1"/>
            </xdr:nvSpPr>
            <xdr:spPr>
              <a:xfrm>
                <a:off x="1203572" y="1511300"/>
                <a:ext cx="1373709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×(57,5∕60)/𝐸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4" name="textruta 13"/>
              <xdr:cNvSpPr txBox="1"/>
            </xdr:nvSpPr>
            <xdr:spPr>
              <a:xfrm>
                <a:off x="1326682" y="1879600"/>
                <a:ext cx="1127488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57,5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4" name="textruta 13"/>
              <xdr:cNvSpPr txBox="1"/>
            </xdr:nvSpPr>
            <xdr:spPr>
              <a:xfrm>
                <a:off x="1326682" y="1879600"/>
                <a:ext cx="1127488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×(57,5∕60)/𝐸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5" name="textruta 14"/>
              <xdr:cNvSpPr txBox="1"/>
            </xdr:nvSpPr>
            <xdr:spPr>
              <a:xfrm>
                <a:off x="1380190" y="2247900"/>
                <a:ext cx="822886" cy="32328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30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5" name="textruta 14"/>
              <xdr:cNvSpPr txBox="1"/>
            </xdr:nvSpPr>
            <xdr:spPr>
              <a:xfrm>
                <a:off x="1380190" y="2247900"/>
                <a:ext cx="822886" cy="32328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×(30∕60)/𝐸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6" name="textruta 15"/>
              <xdr:cNvSpPr txBox="1"/>
            </xdr:nvSpPr>
            <xdr:spPr>
              <a:xfrm>
                <a:off x="1380190" y="2616200"/>
                <a:ext cx="1020472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10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6" name="textruta 15"/>
              <xdr:cNvSpPr txBox="1"/>
            </xdr:nvSpPr>
            <xdr:spPr>
              <a:xfrm>
                <a:off x="1380190" y="2616200"/>
                <a:ext cx="1020472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×(10∕60)/𝐸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7" name="textruta 16"/>
              <xdr:cNvSpPr txBox="1"/>
            </xdr:nvSpPr>
            <xdr:spPr>
              <a:xfrm>
                <a:off x="1419240" y="2984500"/>
                <a:ext cx="942373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𝑁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7" name="textruta 16"/>
              <xdr:cNvSpPr txBox="1"/>
            </xdr:nvSpPr>
            <xdr:spPr>
              <a:xfrm>
                <a:off x="1419240" y="2984500"/>
                <a:ext cx="942373" cy="3261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𝐶_(𝐹𝐶𝑅−𝑁)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8" name="textruta 17"/>
              <xdr:cNvSpPr txBox="1"/>
            </xdr:nvSpPr>
            <xdr:spPr>
              <a:xfrm>
                <a:off x="3538529" y="1879600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8" name="textruta 17"/>
              <xdr:cNvSpPr txBox="1"/>
            </xdr:nvSpPr>
            <xdr:spPr>
              <a:xfrm>
                <a:off x="3538529" y="1879600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×(20∕60)/𝐸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9" name="textruta 18"/>
              <xdr:cNvSpPr txBox="1"/>
            </xdr:nvSpPr>
            <xdr:spPr>
              <a:xfrm>
                <a:off x="3538529" y="2245783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19" name="textruta 18"/>
              <xdr:cNvSpPr txBox="1"/>
            </xdr:nvSpPr>
            <xdr:spPr>
              <a:xfrm>
                <a:off x="3538529" y="2245783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×(20∕60)/𝐸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0" name="textruta 19"/>
              <xdr:cNvSpPr txBox="1"/>
            </xdr:nvSpPr>
            <xdr:spPr>
              <a:xfrm>
                <a:off x="3538529" y="2611966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10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0" name="textruta 19"/>
              <xdr:cNvSpPr txBox="1"/>
            </xdr:nvSpPr>
            <xdr:spPr>
              <a:xfrm>
                <a:off x="3538529" y="2611966"/>
                <a:ext cx="841043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×(10∕60)/𝐸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1" name="textruta 20"/>
              <xdr:cNvSpPr txBox="1"/>
            </xdr:nvSpPr>
            <xdr:spPr>
              <a:xfrm>
                <a:off x="3577579" y="2978150"/>
                <a:ext cx="783040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1" name="textruta 20"/>
              <xdr:cNvSpPr txBox="1"/>
            </xdr:nvSpPr>
            <xdr:spPr>
              <a:xfrm>
                <a:off x="3577579" y="2978150"/>
                <a:ext cx="783040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2" name="textruta 21"/>
              <xdr:cNvSpPr txBox="1"/>
            </xdr:nvSpPr>
            <xdr:spPr>
              <a:xfrm>
                <a:off x="5479294" y="406400"/>
                <a:ext cx="957049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5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2" name="textruta 21"/>
              <xdr:cNvSpPr txBox="1"/>
            </xdr:nvSpPr>
            <xdr:spPr>
              <a:xfrm>
                <a:off x="5479294" y="406400"/>
                <a:ext cx="957049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×(5∕60)/𝐸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3" name="textruta 22"/>
              <xdr:cNvSpPr txBox="1"/>
            </xdr:nvSpPr>
            <xdr:spPr>
              <a:xfrm>
                <a:off x="5483952" y="774701"/>
                <a:ext cx="1002366" cy="32469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10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3" name="textruta 22"/>
              <xdr:cNvSpPr txBox="1"/>
            </xdr:nvSpPr>
            <xdr:spPr>
              <a:xfrm>
                <a:off x="5483952" y="774701"/>
                <a:ext cx="1002366" cy="32469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×(10∕60)/𝐸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4" name="textruta 23"/>
              <xdr:cNvSpPr txBox="1"/>
            </xdr:nvSpPr>
            <xdr:spPr>
              <a:xfrm>
                <a:off x="5442264" y="1143000"/>
                <a:ext cx="1015052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4" name="textruta 23"/>
              <xdr:cNvSpPr txBox="1"/>
            </xdr:nvSpPr>
            <xdr:spPr>
              <a:xfrm>
                <a:off x="5442264" y="1143000"/>
                <a:ext cx="1015052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×(20∕60)/𝐸</a:t>
                </a:r>
                <a:endParaRPr lang="sv-SE" sz="1100"/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5" name="textruta 24"/>
              <xdr:cNvSpPr txBox="1"/>
            </xdr:nvSpPr>
            <xdr:spPr>
              <a:xfrm>
                <a:off x="5442264" y="1511300"/>
                <a:ext cx="1015052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sv-SE" sz="1100" b="0" i="1">
                          <a:latin typeface="Cambria Math" panose="02040503050406030204" pitchFamily="18" charset="0"/>
                        </a:rPr>
                        <m:t>1−</m:t>
                      </m:r>
                      <m:sSub>
                        <m:sSubPr>
                          <m:ctrlPr>
                            <a:rPr lang="sv-S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𝐹𝐶𝑅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sv-SE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  <m:r>
                        <a:rPr lang="sv-S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f>
                        <m:fPr>
                          <m:ctrlP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f>
                            <m:fPr>
                              <m:type m:val="lin"/>
                              <m:ctrlP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20</m:t>
                              </m:r>
                            </m:num>
                            <m:den>
                              <m:r>
                                <a:rPr lang="sv-SE" sz="11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60</m:t>
                              </m:r>
                            </m:den>
                          </m:f>
                        </m:num>
                        <m:den>
                          <m:r>
                            <a:rPr lang="sv-S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𝐸</m:t>
                          </m:r>
                        </m:den>
                      </m:f>
                    </m:oMath>
                  </m:oMathPara>
                </a14:m>
                <a:endParaRPr lang="sv-SE" sz="1100"/>
              </a:p>
            </xdr:txBody>
          </xdr:sp>
        </mc:Choice>
        <mc:Fallback xmlns="">
          <xdr:sp macro="" textlink="">
            <xdr:nvSpPr>
              <xdr:cNvPr id="25" name="textruta 24"/>
              <xdr:cNvSpPr txBox="1"/>
            </xdr:nvSpPr>
            <xdr:spPr>
              <a:xfrm>
                <a:off x="5442264" y="1511300"/>
                <a:ext cx="1015052" cy="326115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spAutoFit/>
              </a:bodyPr>
              <a:lstStyle/>
              <a:p>
                <a:pPr/>
                <a:r>
                  <a:rPr lang="sv-SE" sz="1100" b="0" i="0">
                    <a:latin typeface="Cambria Math" panose="02040503050406030204" pitchFamily="18" charset="0"/>
                  </a:rPr>
                  <a:t>1−𝐶_(𝐹𝐶𝑅−𝐷)</a:t>
                </a:r>
                <a:r>
                  <a:rPr lang="sv-SE" sz="1100" b="0" i="0">
                    <a:latin typeface="Cambria Math" panose="02040503050406030204" pitchFamily="18" charset="0"/>
                    <a:ea typeface="Cambria Math" panose="02040503050406030204" pitchFamily="18" charset="0"/>
                  </a:rPr>
                  <a:t>×(20∕60)/𝐸</a:t>
                </a:r>
                <a:endParaRPr lang="sv-SE" sz="1100"/>
              </a:p>
            </xdr:txBody>
          </xdr:sp>
        </mc:Fallback>
      </mc:AlternateContent>
    </xdr:grpSp>
    <xdr:clientData/>
  </xdr:twoCellAnchor>
  <xdr:twoCellAnchor>
    <xdr:from>
      <xdr:col>19</xdr:col>
      <xdr:colOff>0</xdr:colOff>
      <xdr:row>2</xdr:row>
      <xdr:rowOff>0</xdr:rowOff>
    </xdr:from>
    <xdr:to>
      <xdr:col>19</xdr:col>
      <xdr:colOff>1178632</xdr:colOff>
      <xdr:row>2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ruta 44"/>
            <xdr:cNvSpPr txBox="1"/>
          </xdr:nvSpPr>
          <xdr:spPr>
            <a:xfrm>
              <a:off x="13813971" y="381000"/>
              <a:ext cx="1178632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100" b="0" i="1">
                        <a:latin typeface="Cambria Math" panose="02040503050406030204" pitchFamily="18" charset="0"/>
                      </a:rPr>
                      <m:t>1−</m:t>
                    </m:r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5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5" name="textruta 44"/>
            <xdr:cNvSpPr txBox="1"/>
          </xdr:nvSpPr>
          <xdr:spPr>
            <a:xfrm>
              <a:off x="13813971" y="381000"/>
              <a:ext cx="1178632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1−𝐶_(𝐹𝐶𝑅−𝐷)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×(5∕60)/𝐸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33923</xdr:colOff>
      <xdr:row>3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ruta 45"/>
            <xdr:cNvSpPr txBox="1"/>
          </xdr:nvSpPr>
          <xdr:spPr>
            <a:xfrm>
              <a:off x="14205857" y="751114"/>
              <a:ext cx="1285780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100" b="0" i="1">
                        <a:latin typeface="Cambria Math" panose="02040503050406030204" pitchFamily="18" charset="0"/>
                      </a:rPr>
                      <m:t>1−</m:t>
                    </m:r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6" name="textruta 45"/>
            <xdr:cNvSpPr txBox="1"/>
          </xdr:nvSpPr>
          <xdr:spPr>
            <a:xfrm>
              <a:off x="14205857" y="751114"/>
              <a:ext cx="1285780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1−𝐶_(𝐹𝐶𝑅−𝐷)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×(10∕60)/𝐸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1250065</xdr:colOff>
      <xdr:row>4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ruta 46"/>
            <xdr:cNvSpPr txBox="1"/>
          </xdr:nvSpPr>
          <xdr:spPr>
            <a:xfrm>
              <a:off x="13813971" y="1121229"/>
              <a:ext cx="125006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100" b="0" i="1">
                        <a:latin typeface="Cambria Math" panose="02040503050406030204" pitchFamily="18" charset="0"/>
                      </a:rPr>
                      <m:t>1−</m:t>
                    </m:r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7" name="textruta 46"/>
            <xdr:cNvSpPr txBox="1"/>
          </xdr:nvSpPr>
          <xdr:spPr>
            <a:xfrm>
              <a:off x="13813971" y="1121229"/>
              <a:ext cx="125006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1−𝐶_(𝐹𝐶𝑅−𝐷)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×(20∕60)/𝐸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1250065</xdr:colOff>
      <xdr:row>5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ruta 47"/>
            <xdr:cNvSpPr txBox="1"/>
          </xdr:nvSpPr>
          <xdr:spPr>
            <a:xfrm>
              <a:off x="13813971" y="1491343"/>
              <a:ext cx="125006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100" b="0" i="1">
                        <a:latin typeface="Cambria Math" panose="02040503050406030204" pitchFamily="18" charset="0"/>
                      </a:rPr>
                      <m:t>1−</m:t>
                    </m:r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8" name="textruta 47"/>
            <xdr:cNvSpPr txBox="1"/>
          </xdr:nvSpPr>
          <xdr:spPr>
            <a:xfrm>
              <a:off x="13813971" y="1491343"/>
              <a:ext cx="125006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1−𝐶_(𝐹𝐶𝑅−𝐷)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×(20∕60)/𝐸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1035768</xdr:colOff>
      <xdr:row>6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ruta 48"/>
            <xdr:cNvSpPr txBox="1"/>
          </xdr:nvSpPr>
          <xdr:spPr>
            <a:xfrm>
              <a:off x="13813971" y="1861457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49" name="textruta 48"/>
            <xdr:cNvSpPr txBox="1"/>
          </xdr:nvSpPr>
          <xdr:spPr>
            <a:xfrm>
              <a:off x="13813971" y="1861457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×(20∕60)/𝐸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1035768</xdr:colOff>
      <xdr:row>7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ruta 49"/>
            <xdr:cNvSpPr txBox="1"/>
          </xdr:nvSpPr>
          <xdr:spPr>
            <a:xfrm>
              <a:off x="13813971" y="2231571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50" name="textruta 49"/>
            <xdr:cNvSpPr txBox="1"/>
          </xdr:nvSpPr>
          <xdr:spPr>
            <a:xfrm>
              <a:off x="13813971" y="2231571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×(20∕60)/𝐸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1035768</xdr:colOff>
      <xdr:row>8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ruta 50"/>
            <xdr:cNvSpPr txBox="1"/>
          </xdr:nvSpPr>
          <xdr:spPr>
            <a:xfrm>
              <a:off x="13813971" y="2601686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10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51" name="textruta 50"/>
            <xdr:cNvSpPr txBox="1"/>
          </xdr:nvSpPr>
          <xdr:spPr>
            <a:xfrm>
              <a:off x="13813971" y="2601686"/>
              <a:ext cx="1035768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×(10∕60)/𝐸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964335</xdr:colOff>
      <xdr:row>9</xdr:row>
      <xdr:rowOff>327541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ruta 51"/>
            <xdr:cNvSpPr txBox="1"/>
          </xdr:nvSpPr>
          <xdr:spPr>
            <a:xfrm>
              <a:off x="13813971" y="2971800"/>
              <a:ext cx="96433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sv-S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𝐹𝐶𝑅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sv-S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sv-S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type m:val="lin"/>
                            <m:ctrlP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5</m:t>
                            </m:r>
                          </m:num>
                          <m:den>
                            <m:r>
                              <a:rPr lang="sv-S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num>
                      <m:den>
                        <m:r>
                          <a:rPr lang="sv-S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sv-SE" sz="1100"/>
            </a:p>
          </xdr:txBody>
        </xdr:sp>
      </mc:Choice>
      <mc:Fallback xmlns="">
        <xdr:sp macro="" textlink="">
          <xdr:nvSpPr>
            <xdr:cNvPr id="52" name="textruta 51"/>
            <xdr:cNvSpPr txBox="1"/>
          </xdr:nvSpPr>
          <xdr:spPr>
            <a:xfrm>
              <a:off x="13813971" y="2971800"/>
              <a:ext cx="964335" cy="32754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sv-SE" sz="1100" b="0" i="0">
                  <a:latin typeface="Cambria Math" panose="02040503050406030204" pitchFamily="18" charset="0"/>
                </a:rPr>
                <a:t>𝐶_(𝐹𝐶𝑅−𝐷)</a:t>
              </a:r>
              <a:r>
                <a:rPr lang="sv-S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×(5∕60)/𝐸</a:t>
              </a:r>
              <a:endParaRPr lang="sv-SE" sz="1100"/>
            </a:p>
          </xdr:txBody>
        </xdr:sp>
      </mc:Fallback>
    </mc:AlternateContent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2004060</xdr:colOff>
      <xdr:row>2</xdr:row>
      <xdr:rowOff>327660</xdr:rowOff>
    </xdr:to>
    <xdr:pic>
      <xdr:nvPicPr>
        <xdr:cNvPr id="54" name="Bildobjekt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381000"/>
          <a:ext cx="200406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2072640</xdr:colOff>
      <xdr:row>3</xdr:row>
      <xdr:rowOff>327660</xdr:rowOff>
    </xdr:to>
    <xdr:pic>
      <xdr:nvPicPr>
        <xdr:cNvPr id="55" name="Bildobjekt 5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746760"/>
          <a:ext cx="207264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2072640</xdr:colOff>
      <xdr:row>4</xdr:row>
      <xdr:rowOff>327660</xdr:rowOff>
    </xdr:to>
    <xdr:pic>
      <xdr:nvPicPr>
        <xdr:cNvPr id="56" name="Bildobjekt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1112520"/>
          <a:ext cx="207264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5</xdr:row>
      <xdr:rowOff>327660</xdr:rowOff>
    </xdr:to>
    <xdr:pic>
      <xdr:nvPicPr>
        <xdr:cNvPr id="57" name="Bildobjekt 5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1478280"/>
          <a:ext cx="216408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1927860</xdr:colOff>
      <xdr:row>6</xdr:row>
      <xdr:rowOff>274320</xdr:rowOff>
    </xdr:to>
    <xdr:pic>
      <xdr:nvPicPr>
        <xdr:cNvPr id="58" name="Bildobjekt 5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1844040"/>
          <a:ext cx="192786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1836420</xdr:colOff>
      <xdr:row>7</xdr:row>
      <xdr:rowOff>274320</xdr:rowOff>
    </xdr:to>
    <xdr:pic>
      <xdr:nvPicPr>
        <xdr:cNvPr id="59" name="Bildobjekt 5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2209800"/>
          <a:ext cx="183642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8</xdr:row>
      <xdr:rowOff>0</xdr:rowOff>
    </xdr:from>
    <xdr:to>
      <xdr:col>16</xdr:col>
      <xdr:colOff>1836420</xdr:colOff>
      <xdr:row>8</xdr:row>
      <xdr:rowOff>274320</xdr:rowOff>
    </xdr:to>
    <xdr:pic>
      <xdr:nvPicPr>
        <xdr:cNvPr id="60" name="Bildobjekt 5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2575560"/>
          <a:ext cx="183642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1767840</xdr:colOff>
      <xdr:row>9</xdr:row>
      <xdr:rowOff>274320</xdr:rowOff>
    </xdr:to>
    <xdr:pic>
      <xdr:nvPicPr>
        <xdr:cNvPr id="61" name="Bildobjekt 6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820" y="2941320"/>
          <a:ext cx="1767840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"/>
  <sheetViews>
    <sheetView tabSelected="1" zoomScale="70" zoomScaleNormal="70" workbookViewId="0">
      <selection activeCell="I14" sqref="I14"/>
    </sheetView>
  </sheetViews>
  <sheetFormatPr defaultRowHeight="15" x14ac:dyDescent="0.25"/>
  <cols>
    <col min="2" max="2" width="7.5703125" customWidth="1"/>
    <col min="3" max="3" width="11.85546875" customWidth="1"/>
    <col min="4" max="4" width="26.85546875" customWidth="1"/>
    <col min="5" max="5" width="8.7109375" customWidth="1"/>
    <col min="6" max="6" width="14.28515625" customWidth="1"/>
    <col min="7" max="7" width="3.85546875" customWidth="1"/>
    <col min="8" max="8" width="24.42578125" customWidth="1"/>
    <col min="10" max="10" width="11.42578125" customWidth="1"/>
    <col min="12" max="12" width="19.28515625" customWidth="1"/>
    <col min="13" max="13" width="9.7109375" customWidth="1"/>
    <col min="14" max="14" width="13.140625" customWidth="1"/>
    <col min="17" max="17" width="31.5703125" customWidth="1"/>
    <col min="18" max="18" width="16.7109375" customWidth="1"/>
    <col min="19" max="19" width="14.85546875" customWidth="1"/>
    <col min="20" max="20" width="21" customWidth="1"/>
    <col min="21" max="21" width="12.85546875" customWidth="1"/>
    <col min="22" max="22" width="15.42578125" customWidth="1"/>
  </cols>
  <sheetData>
    <row r="1" spans="2:22" x14ac:dyDescent="0.25">
      <c r="Q1" s="18" t="s">
        <v>13</v>
      </c>
      <c r="R1" s="19"/>
      <c r="S1" s="19"/>
      <c r="T1" s="19"/>
      <c r="U1" s="19"/>
      <c r="V1" s="20"/>
    </row>
    <row r="2" spans="2:22" ht="15.75" x14ac:dyDescent="0.25">
      <c r="B2" s="6"/>
      <c r="C2" s="7" t="s">
        <v>8</v>
      </c>
      <c r="D2" s="21" t="s">
        <v>2</v>
      </c>
      <c r="E2" s="9" t="s">
        <v>17</v>
      </c>
      <c r="F2" s="22" t="s">
        <v>7</v>
      </c>
      <c r="G2" s="49" t="s">
        <v>9</v>
      </c>
      <c r="H2" s="50"/>
      <c r="I2" s="9" t="s">
        <v>11</v>
      </c>
      <c r="J2" s="22" t="s">
        <v>7</v>
      </c>
      <c r="K2" s="49" t="s">
        <v>10</v>
      </c>
      <c r="L2" s="50"/>
      <c r="M2" s="9" t="s">
        <v>17</v>
      </c>
      <c r="N2" s="22" t="s">
        <v>7</v>
      </c>
      <c r="O2" s="9"/>
      <c r="P2" s="9"/>
      <c r="Q2" s="21" t="s">
        <v>2</v>
      </c>
      <c r="R2" s="9" t="s">
        <v>17</v>
      </c>
      <c r="S2" s="9" t="s">
        <v>7</v>
      </c>
      <c r="T2" s="9" t="s">
        <v>14</v>
      </c>
      <c r="U2" s="9" t="s">
        <v>17</v>
      </c>
      <c r="V2" s="22" t="s">
        <v>7</v>
      </c>
    </row>
    <row r="3" spans="2:22" ht="28.9" customHeight="1" x14ac:dyDescent="0.25">
      <c r="B3" s="1"/>
      <c r="D3" s="23"/>
      <c r="E3" s="24">
        <f>IF($D$13*2&lt;=$D$12,$D$12*(1-$D$13*((5/60)/$D$12)), NaN)</f>
        <v>0.97083333333333333</v>
      </c>
      <c r="F3" s="35">
        <f>IF($D$13*2&lt;=$D$12,1-$D$13*((5/60)/$D$12),NaN)</f>
        <v>0.97083333333333333</v>
      </c>
      <c r="G3" s="46" t="s">
        <v>6</v>
      </c>
      <c r="H3" s="47"/>
      <c r="I3" s="47"/>
      <c r="J3" s="48"/>
      <c r="K3" s="23"/>
      <c r="L3" s="29"/>
      <c r="M3" s="24">
        <f>IF($D$15*20/60&lt;=$D$12,$D$12*(1-$D$15*((5/60)/$D$12)),NaN)</f>
        <v>0.96333333333333337</v>
      </c>
      <c r="N3" s="35">
        <f>IF($D$15*20/60&lt;=$D$12,1-$D$15*((5/60)/$D$12),NaN)</f>
        <v>0.96333333333333337</v>
      </c>
      <c r="O3" s="13"/>
      <c r="Q3" s="23"/>
      <c r="R3" s="24">
        <f>IF($D$13*2+$D$14/3+$D$15/3&lt;=$D$12,$D$12*(1-$D$15*20/60/$D$12-$D$13*((5/60)/$D$12)), NaN)</f>
        <v>0.8241666666666666</v>
      </c>
      <c r="S3" s="25">
        <f>IF($D$13*2+$D$14/3+$D$15/3&lt;=$D$12,(1-$D$15*20/60/$D$12-$D$13*((5/60)/$D$12)), NaN)</f>
        <v>0.8241666666666666</v>
      </c>
      <c r="T3" s="26" t="s">
        <v>15</v>
      </c>
      <c r="U3" s="24">
        <f>IF($D$13*2+$D$14/3+$D$15/3&lt;=$D$12,$D$12*(1-$D$15*5/60/$D$12), NaN)</f>
        <v>0.96333333333333337</v>
      </c>
      <c r="V3" s="40">
        <f>IF($D$13*2+$D$14/3+$D$15/3&lt;=$D$12,(1-$D$15*5/60/$D$12), NaN)</f>
        <v>0.96333333333333337</v>
      </c>
    </row>
    <row r="4" spans="2:22" ht="28.9" customHeight="1" x14ac:dyDescent="0.25">
      <c r="B4" s="2"/>
      <c r="D4" s="23"/>
      <c r="E4" s="27">
        <f>IF($D$13*2&lt;=$D$12,$D$12*(1-$D$13*((10/60)/$D$12)),NaN)</f>
        <v>0.94166666666666665</v>
      </c>
      <c r="F4" s="36">
        <f>IF($D$13*2&lt;=$D$12,1-$D$13*((10/60)/$D$12),NaN)</f>
        <v>0.94166666666666665</v>
      </c>
      <c r="G4" s="46" t="s">
        <v>6</v>
      </c>
      <c r="H4" s="47"/>
      <c r="I4" s="47"/>
      <c r="J4" s="48"/>
      <c r="K4" s="23"/>
      <c r="L4" s="29"/>
      <c r="M4" s="27">
        <f>IF($D$15*20/60&lt;=$D$12,$D$12*(1-$D$15*((10/60)/$D$12)),NaN)</f>
        <v>0.92666666666666664</v>
      </c>
      <c r="N4" s="36">
        <f>IF($D$15*20/60&lt;=$D$12,1-$D$15*((10/60)/$D$12),NaN)</f>
        <v>0.92666666666666664</v>
      </c>
      <c r="O4" s="14"/>
      <c r="Q4" s="23"/>
      <c r="R4" s="27">
        <f>IF($D$13*2+$D$14/3+$D$15/3&lt;=$D$12,$D$12*(1-$D$15*20/60/$D$12-$D$13*((10/60)/$D$12)),NaN)</f>
        <v>0.79499999999999993</v>
      </c>
      <c r="S4" s="28">
        <f>IF($D$13*2+$D$14/3+$D$15/3&lt;=$D$12,(1-$D$15*20/60/$D$12-$D$13*((10/60)/$D$12)),NaN)</f>
        <v>0.79499999999999993</v>
      </c>
      <c r="T4" s="29"/>
      <c r="U4" s="24">
        <f>IF($D$13*2+$D$14/3+$D$15/3&lt;=$D$12,$D$12*(1-$D$15*10/60/$D$12), NaN)</f>
        <v>0.92666666666666664</v>
      </c>
      <c r="V4" s="40">
        <f>IF($D$13*2+$D$14/3+$D$15/3&lt;=$D$12,(1-$D$15*10/60/$D$12), NaN)</f>
        <v>0.92666666666666664</v>
      </c>
    </row>
    <row r="5" spans="2:22" ht="28.9" customHeight="1" x14ac:dyDescent="0.25">
      <c r="B5" s="3"/>
      <c r="D5" s="23"/>
      <c r="E5" s="30">
        <f>IF($D$13*2&lt;=$D$12,$D$12*(1-$D$13*((30/60)/$D$12)),NaN)</f>
        <v>0.82499999999999996</v>
      </c>
      <c r="F5" s="37">
        <f>IF($D$13*2&lt;=$D$12,1-$D$13*((30/60)/$D$12),NaN)</f>
        <v>0.82499999999999996</v>
      </c>
      <c r="G5" s="46" t="s">
        <v>6</v>
      </c>
      <c r="H5" s="47"/>
      <c r="I5" s="47"/>
      <c r="J5" s="48"/>
      <c r="K5" s="23"/>
      <c r="L5" s="29"/>
      <c r="M5" s="30">
        <f>IF($D$15*20/60&lt;=$D$12,$D$12*(1-$D$15*((20/60)/$D$12)),NaN)</f>
        <v>0.85333333333333328</v>
      </c>
      <c r="N5" s="37">
        <f>IF($D$15*20/60&lt;=$D$12,1-$D$15*((20/60)/$D$12),NaN)</f>
        <v>0.85333333333333328</v>
      </c>
      <c r="O5" s="15"/>
      <c r="Q5" s="23"/>
      <c r="R5" s="30">
        <f>IF($D$13*2+$D$14/3+$D$15/3&lt;=$D$12,$D$12*(1-$D$15*20/60/$D$12-$D$13*((30/60)/$D$12)),NaN)</f>
        <v>0.67833333333333323</v>
      </c>
      <c r="S5" s="31">
        <f>IF($D$13*2+$D$14/3+$D$15/3&lt;=$D$12,(1-$D$15*20/60/$D$12-$D$13*((30/60)/$D$12)),NaN)</f>
        <v>0.67833333333333323</v>
      </c>
      <c r="T5" s="29"/>
      <c r="U5" s="24">
        <f>IF($D$13*2+$D$14/3+$D$15/3&lt;=$D$12,$D$12*(1-$D$15*20/60/$D$12), NaN)</f>
        <v>0.85333333333333328</v>
      </c>
      <c r="V5" s="40">
        <f>IF($D$13*2+$D$14/3+$D$15/3&lt;=$D$12,(1-$D$15*20/60/$D$12), NaN)</f>
        <v>0.85333333333333328</v>
      </c>
    </row>
    <row r="6" spans="2:22" ht="28.9" customHeight="1" x14ac:dyDescent="0.25">
      <c r="B6" s="4"/>
      <c r="D6" s="23"/>
      <c r="E6" s="32">
        <f>IF($D$13*2&lt;=$D$12,$D$12*(1-$D$13*((57.5/60)/$D$12)),NaN)</f>
        <v>0.6645833333333333</v>
      </c>
      <c r="F6" s="38">
        <f>IF($D$13*2&lt;=$D$12,1-$D$13*((57.5/60)/$D$12),NaN)</f>
        <v>0.6645833333333333</v>
      </c>
      <c r="G6" s="46" t="s">
        <v>6</v>
      </c>
      <c r="H6" s="47"/>
      <c r="I6" s="47"/>
      <c r="J6" s="48"/>
      <c r="K6" s="23"/>
      <c r="L6" s="29"/>
      <c r="M6" s="32">
        <f>IF($D$15*20/60&lt;=$D$12,$D$12*(1-$D$15*((20/60)/$D$12)),NaN)</f>
        <v>0.85333333333333328</v>
      </c>
      <c r="N6" s="38">
        <f>IF($D$15*20/60&lt;=$D$12,1-$D$15*((20/60)/$D$12),NaN)</f>
        <v>0.85333333333333328</v>
      </c>
      <c r="O6" s="16"/>
      <c r="Q6" s="23"/>
      <c r="R6" s="32">
        <f>IF($D$13*2+$D$14/3+$D$15/3&lt;=$D$12,$D$12*(1-$D$15*20/60/$D$12-$D$13*((57.5/60)/$D$12)),NaN)</f>
        <v>0.51791666666666658</v>
      </c>
      <c r="S6" s="33">
        <f>IF($D$13*2+$D$14/3+$D$15/3&lt;=$D$12,(1-$D$15*20/60/$D$12-$D$13*((57.5/60)/$D$12)),NaN)</f>
        <v>0.51791666666666658</v>
      </c>
      <c r="T6" s="29"/>
      <c r="U6" s="24">
        <f>IF($D$13*2+$D$14/3+$D$15/3&lt;=$D$12,$D$12*(1-$D$15*20/60/$D$12), NaN)</f>
        <v>0.85333333333333328</v>
      </c>
      <c r="V6" s="40">
        <f>IF($D$13*2+$D$14/3+$D$15/3&lt;=$D$12,(1-$D$15*20/60/$D$12), NaN)</f>
        <v>0.85333333333333328</v>
      </c>
    </row>
    <row r="7" spans="2:22" ht="28.9" customHeight="1" x14ac:dyDescent="0.25">
      <c r="B7" s="4"/>
      <c r="D7" s="23"/>
      <c r="E7" s="32">
        <f>IF($D$13*2&lt;=$D$12,$D$12*$D$13*((57.5/60)/$D$12),NaN)</f>
        <v>0.33541666666666664</v>
      </c>
      <c r="F7" s="38">
        <f>IF($D$13*2&lt;=$D$12,$D$13*((57.5/60)/$D$12),NaN)</f>
        <v>0.33541666666666664</v>
      </c>
      <c r="G7" s="23"/>
      <c r="H7" s="29"/>
      <c r="I7" s="32">
        <f>IF($D$14*20/60&lt;=$D$12,$D$12*$D$14*((20/60)/$D$12),NaN)</f>
        <v>0.14666666666666667</v>
      </c>
      <c r="J7" s="38">
        <f>IF($D$14*20/60&lt;=$D$12,$D$14*((20/60)/$D$12),NaN)</f>
        <v>0.14666666666666667</v>
      </c>
      <c r="K7" s="46" t="s">
        <v>6</v>
      </c>
      <c r="L7" s="47"/>
      <c r="M7" s="47"/>
      <c r="N7" s="48"/>
      <c r="O7" s="10"/>
      <c r="Q7" s="23"/>
      <c r="R7" s="32">
        <f>IF($D$13*2+$D$14/3+$D$15/3&lt;=$D$12,$D$12*($D$14*20/60/$D$12+$D$13*((57.5/60)/$D$12)),NaN)</f>
        <v>0.48208333333333331</v>
      </c>
      <c r="S7" s="33">
        <f>IF($D$13*2+$D$14/3+$D$15/3&lt;=$D$12,($D$14*20/60/$D$12+$D$13*((57.5/60)/$D$12)),NaN)</f>
        <v>0.48208333333333331</v>
      </c>
      <c r="T7" s="29"/>
      <c r="U7" s="24">
        <f>IF($D$13*2+$D$14/3+$D$15/3&lt;=$D$12,$D$12*($D$14*20/60/$D$12), NaN)</f>
        <v>0.14666666666666667</v>
      </c>
      <c r="V7" s="40">
        <f>IF($D$13*2+$D$14/3+$D$15/3&lt;=$D$12,($D$14*20/60/$D$12), NaN)</f>
        <v>0.14666666666666667</v>
      </c>
    </row>
    <row r="8" spans="2:22" ht="28.9" customHeight="1" x14ac:dyDescent="0.25">
      <c r="B8" s="3"/>
      <c r="D8" s="23"/>
      <c r="E8" s="30">
        <f>IF($D$13*2&lt;=$D$12,$D$12*$D$13*((30/60)/$D$12),NaN)</f>
        <v>0.17499999999999999</v>
      </c>
      <c r="F8" s="37">
        <f>IF($D$13*2&lt;=$D$12,$D$13*((30/60)/$D$12),NaN)</f>
        <v>0.17499999999999999</v>
      </c>
      <c r="G8" s="23"/>
      <c r="H8" s="29"/>
      <c r="I8" s="30">
        <f>IF($D$14*20/60&lt;=$D$12,$D$12*$D$14*((20/60)/$D$12),NaN)</f>
        <v>0.14666666666666667</v>
      </c>
      <c r="J8" s="37">
        <f>IF($D$14*20/60&lt;=$D$12,$D$14*((20/60)/$D$12),NaN)</f>
        <v>0.14666666666666667</v>
      </c>
      <c r="K8" s="46" t="s">
        <v>6</v>
      </c>
      <c r="L8" s="47"/>
      <c r="M8" s="47"/>
      <c r="N8" s="48"/>
      <c r="O8" s="10"/>
      <c r="Q8" s="23"/>
      <c r="R8" s="30">
        <f>IF($D$13*2+$D$14/3+$D$15/3&lt;=$D$12,$D$12*($D$14*20/60/$D$12+$D$13*((30/60)/$D$12)),NaN)</f>
        <v>0.32166666666666666</v>
      </c>
      <c r="S8" s="31">
        <f>IF($D$13*2+$D$14/3+$D$15/3&lt;=$D$12,($D$14*20/60/$D$12+$D$13*((30/60)/$D$12)),NaN)</f>
        <v>0.32166666666666666</v>
      </c>
      <c r="T8" s="29"/>
      <c r="U8" s="24">
        <f>IF($D$13*2+$D$14/3+$D$15/3&lt;=$D$12,$D$12*($D$14*20/60/$D$12), NaN)</f>
        <v>0.14666666666666667</v>
      </c>
      <c r="V8" s="40">
        <f>IF($D$13*2+$D$14/3+$D$15/3&lt;=$D$12,($D$14*20/60/$D$12), NaN)</f>
        <v>0.14666666666666667</v>
      </c>
    </row>
    <row r="9" spans="2:22" ht="28.9" customHeight="1" x14ac:dyDescent="0.25">
      <c r="B9" s="2"/>
      <c r="D9" s="23"/>
      <c r="E9" s="27">
        <f>IF($D$13*2&lt;=$D$12,$D$12*$D$13*((10/60)/$D$12),NaN)</f>
        <v>5.8333333333333327E-2</v>
      </c>
      <c r="F9" s="36">
        <f>IF($D$13*2&lt;=$D$12,$D$13*((10/60)/$D$12),NaN)</f>
        <v>5.8333333333333327E-2</v>
      </c>
      <c r="G9" s="23"/>
      <c r="H9" s="29"/>
      <c r="I9" s="27">
        <f>IF($D$14*20/60&lt;=$D$12,$D$12*$D$14*((10/60)/$D$12),NaN)</f>
        <v>7.3333333333333334E-2</v>
      </c>
      <c r="J9" s="36">
        <f>IF($D$14*20/60&lt;=$D$12,$D$14*((10/60)/$D$12),NaN)</f>
        <v>7.3333333333333334E-2</v>
      </c>
      <c r="K9" s="46" t="s">
        <v>6</v>
      </c>
      <c r="L9" s="47"/>
      <c r="M9" s="47"/>
      <c r="N9" s="48"/>
      <c r="O9" s="10"/>
      <c r="Q9" s="23"/>
      <c r="R9" s="27">
        <f>IF($D$13*2+$D$14/3+$D$15/3&lt;=$D$12,$D$12*($D$14*20/60/$D$12+$D$13*((10/60)/$D$12)),NaN)</f>
        <v>0.20499999999999999</v>
      </c>
      <c r="S9" s="28">
        <f>IF($D$13*2+$D$14/3+$D$15/3&lt;=$D$12,($D$14*20/60/$D$12+$D$13*((10/60)/$D$12)),NaN)</f>
        <v>0.20499999999999999</v>
      </c>
      <c r="T9" s="29"/>
      <c r="U9" s="24">
        <f>IF($D$13*2+$D$14/3+$D$15/3&lt;=$D$12,$D$12*($D$14*10/60/$D$12), NaN)</f>
        <v>7.3333333333333334E-2</v>
      </c>
      <c r="V9" s="40">
        <f>IF($D$13*2+$D$14/3+$D$15/3&lt;=$D$12,($D$14*10/60/$D$12), NaN)</f>
        <v>7.3333333333333334E-2</v>
      </c>
    </row>
    <row r="10" spans="2:22" ht="28.9" customHeight="1" x14ac:dyDescent="0.25">
      <c r="B10" s="8"/>
      <c r="C10" s="5"/>
      <c r="D10" s="34"/>
      <c r="E10" s="12">
        <f>IF($D$13*2&lt;=$D$12,$D$12*$D$13*((5/60)/$D$12),NaN)</f>
        <v>2.9166666666666664E-2</v>
      </c>
      <c r="F10" s="39">
        <f>IF($D$13*2&lt;=$D$12,$D$13*((5/60)/$D$12),NaN)</f>
        <v>2.9166666666666664E-2</v>
      </c>
      <c r="G10" s="34"/>
      <c r="H10" s="5"/>
      <c r="I10" s="12">
        <f>IF($D$14*20/60&lt;=$D$12,$D$12*$D$14*((5/60)/$D$12),NaN)</f>
        <v>3.6666666666666667E-2</v>
      </c>
      <c r="J10" s="39">
        <f>IF($D$14*20/60&lt;=$D$12,$D$14*((5/60)/$D$12),NaN)</f>
        <v>3.6666666666666667E-2</v>
      </c>
      <c r="K10" s="43" t="s">
        <v>6</v>
      </c>
      <c r="L10" s="44"/>
      <c r="M10" s="44"/>
      <c r="N10" s="45"/>
      <c r="O10" s="11"/>
      <c r="P10" s="5"/>
      <c r="Q10" s="34"/>
      <c r="R10" s="12">
        <f>IF($D$13*2+$D$14/3+$D$15/3&lt;=$D$12,$D$12*($D$14*20/60/$D$12+$D$13*((5/60)/$D$12)),NaN)</f>
        <v>0.17583333333333334</v>
      </c>
      <c r="S10" s="17">
        <f>IF($D$13*2+$D$14/3+$D$15/3&lt;=$D$12,($D$14*20/60/$D$12+$D$13*((5/60)/$D$12)),NaN)</f>
        <v>0.17583333333333334</v>
      </c>
      <c r="T10" s="5"/>
      <c r="U10" s="12">
        <f>IF($D$13*2+$D$14/3+$D$15/3&lt;=$D$12,$D$12*($D$14*5/60/$D$12), NaN)</f>
        <v>3.6666666666666667E-2</v>
      </c>
      <c r="V10" s="41">
        <f>IF($D$13*2+$D$14/3+$D$15/3&lt;=$D$12,($D$14*5/60/$D$12), NaN)</f>
        <v>3.6666666666666667E-2</v>
      </c>
    </row>
    <row r="12" spans="2:22" ht="34.5" customHeight="1" x14ac:dyDescent="0.25">
      <c r="B12" s="42" t="s">
        <v>12</v>
      </c>
      <c r="C12" s="42"/>
      <c r="D12" s="10">
        <v>1</v>
      </c>
      <c r="E12" s="10" t="s">
        <v>1</v>
      </c>
      <c r="F12" s="10"/>
      <c r="H12" t="s">
        <v>16</v>
      </c>
    </row>
    <row r="13" spans="2:22" ht="27.75" customHeight="1" x14ac:dyDescent="0.25">
      <c r="B13" s="42" t="s">
        <v>3</v>
      </c>
      <c r="C13" s="42"/>
      <c r="D13" s="10">
        <v>0.35</v>
      </c>
      <c r="E13" s="10" t="s">
        <v>0</v>
      </c>
      <c r="F13" s="10"/>
    </row>
    <row r="14" spans="2:22" ht="30" customHeight="1" x14ac:dyDescent="0.25">
      <c r="B14" s="42" t="s">
        <v>4</v>
      </c>
      <c r="C14" s="42"/>
      <c r="D14" s="10">
        <v>0.44</v>
      </c>
      <c r="E14" s="10" t="s">
        <v>0</v>
      </c>
      <c r="F14" s="10"/>
    </row>
    <row r="15" spans="2:22" ht="38.25" customHeight="1" x14ac:dyDescent="0.25">
      <c r="B15" s="42" t="s">
        <v>5</v>
      </c>
      <c r="C15" s="42"/>
      <c r="D15" s="10">
        <v>0.44</v>
      </c>
      <c r="E15" s="10" t="s">
        <v>0</v>
      </c>
      <c r="F15" s="10"/>
    </row>
  </sheetData>
  <mergeCells count="10">
    <mergeCell ref="K2:L2"/>
    <mergeCell ref="G2:H2"/>
    <mergeCell ref="K7:N7"/>
    <mergeCell ref="K8:N8"/>
    <mergeCell ref="K9:N9"/>
    <mergeCell ref="K10:N10"/>
    <mergeCell ref="G3:J3"/>
    <mergeCell ref="G4:J4"/>
    <mergeCell ref="G5:J5"/>
    <mergeCell ref="G6:J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Svenska kraftnät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Monie, Svante</dc:creator>
  <cp:lastModifiedBy>Baumann, Marcus</cp:lastModifiedBy>
  <dcterms:created xsi:type="dcterms:W3CDTF">2023-04-19T10:04:24Z</dcterms:created>
  <dcterms:modified xsi:type="dcterms:W3CDTF">2023-09-27T13:45:42Z</dcterms:modified>
</cp:coreProperties>
</file>